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FH 2022\NE Subsidy\DGQI Questionarries\"/>
    </mc:Choice>
  </mc:AlternateContent>
  <xr:revisionPtr revIDLastSave="0" documentId="13_ncr:1_{2F3EC3E9-F1E0-4BB9-AE77-F17A0F03CEF9}" xr6:coauthVersionLast="47" xr6:coauthVersionMax="47" xr10:uidLastSave="{00000000-0000-0000-0000-000000000000}"/>
  <bookViews>
    <workbookView xWindow="-110" yWindow="-110" windowWidth="19420" windowHeight="10300" xr2:uid="{01DAFB6D-4D65-4C2D-98A4-EC2FF056C2F1}"/>
  </bookViews>
  <sheets>
    <sheet name="TOOL" sheetId="3" r:id="rId1"/>
    <sheet name="Qty_Subsidized Gas" sheetId="2" state="hidden" r:id="rId2"/>
    <sheet name="Sheet1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C16" i="3"/>
  <c r="E16" i="3" s="1"/>
  <c r="E16" i="1"/>
  <c r="C16" i="1"/>
  <c r="D10" i="3"/>
  <c r="C10" i="3"/>
  <c r="D12" i="3"/>
  <c r="C12" i="3"/>
  <c r="D6" i="3"/>
  <c r="D8" i="3" s="1"/>
  <c r="C6" i="3"/>
  <c r="D14" i="2"/>
  <c r="B14" i="2"/>
  <c r="E13" i="2"/>
  <c r="C13" i="2"/>
  <c r="D13" i="2"/>
  <c r="B13" i="2"/>
  <c r="E12" i="2"/>
  <c r="E11" i="2"/>
  <c r="E10" i="2"/>
  <c r="E9" i="2"/>
  <c r="E8" i="2"/>
  <c r="E7" i="2"/>
  <c r="E6" i="2"/>
  <c r="E5" i="2"/>
  <c r="C12" i="2"/>
  <c r="C11" i="2"/>
  <c r="C10" i="2"/>
  <c r="C9" i="2"/>
  <c r="C8" i="2"/>
  <c r="C7" i="2"/>
  <c r="C6" i="2"/>
  <c r="C5" i="2"/>
  <c r="D14" i="1"/>
  <c r="B14" i="1"/>
  <c r="E14" i="1"/>
  <c r="C14" i="1"/>
  <c r="D17" i="3" l="1"/>
  <c r="D14" i="3"/>
  <c r="D15" i="3"/>
  <c r="E6" i="3"/>
  <c r="D13" i="3"/>
  <c r="C8" i="3"/>
  <c r="E8" i="3" l="1"/>
  <c r="C15" i="3"/>
  <c r="C17" i="3"/>
  <c r="E17" i="3" s="1"/>
  <c r="C13" i="3"/>
  <c r="E13" i="3" s="1"/>
  <c r="C14" i="3"/>
  <c r="E14" i="3" s="1"/>
  <c r="E15" i="3" l="1"/>
  <c r="E18" i="3" s="1"/>
</calcChain>
</file>

<file path=xl/sharedStrings.xml><?xml version="1.0" encoding="utf-8"?>
<sst xmlns="http://schemas.openxmlformats.org/spreadsheetml/2006/main" count="98" uniqueCount="62">
  <si>
    <t>2023-24</t>
  </si>
  <si>
    <t>Rs in Crore</t>
  </si>
  <si>
    <t>2022-23</t>
  </si>
  <si>
    <t>2021-22</t>
  </si>
  <si>
    <t>2020-21</t>
  </si>
  <si>
    <t>2019-20</t>
  </si>
  <si>
    <t>2018-19</t>
  </si>
  <si>
    <t>2017-18</t>
  </si>
  <si>
    <t>2016-17</t>
  </si>
  <si>
    <t>2015-16</t>
  </si>
  <si>
    <t>2014-15</t>
  </si>
  <si>
    <t>Assam Qty</t>
  </si>
  <si>
    <t>Assam NE Subsidy</t>
  </si>
  <si>
    <t>Tripura Qty</t>
  </si>
  <si>
    <t>Tripura NE Subsidy</t>
  </si>
  <si>
    <t>Change in quantity of Gas supplied under NE Subsidy Scheme</t>
  </si>
  <si>
    <t>2023-24 (Annualized)</t>
  </si>
  <si>
    <t>Year</t>
  </si>
  <si>
    <t>Assam</t>
  </si>
  <si>
    <t>Tripura</t>
  </si>
  <si>
    <t>Total</t>
  </si>
  <si>
    <t>Particulars</t>
  </si>
  <si>
    <t>UOM</t>
  </si>
  <si>
    <t>MSCM (1000 SCM)</t>
  </si>
  <si>
    <t>Conversion Factor</t>
  </si>
  <si>
    <t>mmbtu/MSCM</t>
  </si>
  <si>
    <t>Gas Quantity in mmbtu</t>
  </si>
  <si>
    <t>mmbtu</t>
  </si>
  <si>
    <t>USD/mmbtu</t>
  </si>
  <si>
    <t>Impact of change in gas price on N E Subsidy</t>
  </si>
  <si>
    <t>Exchange Rate</t>
  </si>
  <si>
    <t>INR / USD</t>
  </si>
  <si>
    <t>Change in gas price by USD / mmbtu</t>
  </si>
  <si>
    <t>Change by</t>
  </si>
  <si>
    <t>Unit</t>
  </si>
  <si>
    <t>Rs/USD</t>
  </si>
  <si>
    <t>%</t>
  </si>
  <si>
    <t>CHANGE PARAMETERS HERE</t>
  </si>
  <si>
    <t>Remarks</t>
  </si>
  <si>
    <t>DO No Change</t>
  </si>
  <si>
    <t>Change in NE Subsidy %. Current % is 40%</t>
  </si>
  <si>
    <t>5 years' Average Quantity of subsized Gas supplied under NE Subsidy Scheme</t>
  </si>
  <si>
    <t>Change in Exchange Rate</t>
  </si>
  <si>
    <t>DO Not Change</t>
  </si>
  <si>
    <t>Current Exchange rate</t>
  </si>
  <si>
    <t>Change variation in Gas Price by usd/mmbtu. Put a Negative Sign for reduction)</t>
  </si>
  <si>
    <t>Current Gas Price</t>
  </si>
  <si>
    <t>CURRENT INPUTS</t>
  </si>
  <si>
    <t>Calorific Value of Gas</t>
  </si>
  <si>
    <t>Kcal</t>
  </si>
  <si>
    <t>Change in N E Subsidy percentage (From current 40% rate)</t>
  </si>
  <si>
    <t>Average Supply in Past 5 years</t>
  </si>
  <si>
    <t>Impact -Change in Subsidy with change in gas price</t>
  </si>
  <si>
    <t>Impact - Change in Subsidy with change in Exchange Rate</t>
  </si>
  <si>
    <t>Impact - Change in Subsidy with change in Subsidy %</t>
  </si>
  <si>
    <t>Combined Impact</t>
  </si>
  <si>
    <t>Subsidy at Parameters</t>
  </si>
  <si>
    <t>Change in Quantity of Subsidized Gas by certain Percentage</t>
  </si>
  <si>
    <t>Change Exchange Rate as required (Put a Negative Sign for reduction)</t>
  </si>
  <si>
    <t>Increase or decrease Subsidized gas Quantity by certain percentage as compared to currently considered 5 Years' Avergae (Put a Negative Sign for reduction)</t>
  </si>
  <si>
    <t>Impact - Change in Subsidied Gas Qty</t>
  </si>
  <si>
    <t>Analysis - Annual Impact of change in Gas Prices, exchange rate, Qty of Subsdized Gas and NE Subsidy Percentage on amount of N E Subsidy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</si>
</sst>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43" fontId="0" fillId="0" borderId="0" xfId="1" applyFont="1"/>
    <xf numFmtId="43" fontId="0" fillId="0" borderId="0" xfId="0" applyNumberFormat="1"/>
    <xf numFmtId="43" fontId="3" fillId="0" borderId="0" xfId="0" applyNumberFormat="1" applyFont="1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 vertical="center" wrapText="1"/>
    </xf>
    <xf numFmtId="10" fontId="0" fillId="0" borderId="1" xfId="2" applyNumberFormat="1" applyFont="1" applyBorder="1"/>
    <xf numFmtId="43" fontId="3" fillId="0" borderId="1" xfId="0" applyNumberFormat="1" applyFont="1" applyBorder="1"/>
    <xf numFmtId="0" fontId="3" fillId="0" borderId="0" xfId="0" applyFont="1"/>
    <xf numFmtId="0" fontId="3" fillId="0" borderId="1" xfId="0" applyFont="1" applyBorder="1"/>
    <xf numFmtId="0" fontId="0" fillId="0" borderId="1" xfId="0" applyBorder="1" applyAlignment="1">
      <alignment wrapText="1"/>
    </xf>
    <xf numFmtId="43" fontId="0" fillId="0" borderId="1" xfId="1" applyFont="1" applyBorder="1" applyProtection="1"/>
    <xf numFmtId="0" fontId="0" fillId="4" borderId="1" xfId="0" applyFill="1" applyBorder="1"/>
    <xf numFmtId="9" fontId="0" fillId="0" borderId="1" xfId="1" applyNumberFormat="1" applyFont="1" applyBorder="1" applyProtection="1"/>
    <xf numFmtId="0" fontId="3" fillId="0" borderId="1" xfId="0" applyFont="1" applyBorder="1" applyAlignment="1">
      <alignment wrapText="1"/>
    </xf>
    <xf numFmtId="43" fontId="3" fillId="0" borderId="1" xfId="1" applyFont="1" applyBorder="1" applyProtection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43" fontId="3" fillId="3" borderId="1" xfId="1" applyFont="1" applyFill="1" applyBorder="1" applyProtection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0" fillId="0" borderId="1" xfId="0" applyBorder="1" applyAlignment="1">
      <alignment horizontal="left"/>
    </xf>
    <xf numFmtId="0" fontId="3" fillId="2" borderId="0" xfId="0" applyFont="1" applyFill="1"/>
    <xf numFmtId="0" fontId="0" fillId="0" borderId="1" xfId="0" applyBorder="1" applyAlignment="1">
      <alignment horizontal="left" indent="2"/>
    </xf>
    <xf numFmtId="0" fontId="2" fillId="2" borderId="1" xfId="0" applyFont="1" applyFill="1" applyBorder="1" applyAlignment="1" applyProtection="1">
      <alignment horizontal="center"/>
      <protection locked="0"/>
    </xf>
    <xf numFmtId="9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43" fontId="3" fillId="5" borderId="1" xfId="0" applyNumberFormat="1" applyFont="1" applyFill="1" applyBorder="1"/>
    <xf numFmtId="0" fontId="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Annual Impact of change in Gas Prices, exchange rate, Qty of Subsdized Gas and NE Subsidy Percentage on amount of N E Subsidy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8A-4306-B3B4-01C19B8CFC8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8A-4306-B3B4-01C19B8CFC84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TOOL!$A$13:$A$18</c:f>
              <c:strCache>
                <c:ptCount val="6"/>
                <c:pt idx="0">
                  <c:v>Subsidy at Parameters</c:v>
                </c:pt>
                <c:pt idx="1">
                  <c:v>Impact -Change in Subsidy with change in gas price</c:v>
                </c:pt>
                <c:pt idx="2">
                  <c:v>Impact - Change in Subsidy with change in Exchange Rate</c:v>
                </c:pt>
                <c:pt idx="3">
                  <c:v>Impact - Change in Subsidied Gas Qty</c:v>
                </c:pt>
                <c:pt idx="4">
                  <c:v>Impact - Change in Subsidy with change in Subsidy %</c:v>
                </c:pt>
                <c:pt idx="5">
                  <c:v>Combined Impact</c:v>
                </c:pt>
              </c:strCache>
            </c:strRef>
          </c:cat>
          <c:val>
            <c:numRef>
              <c:f>TOOL!$E$13:$E$18</c:f>
              <c:numCache>
                <c:formatCode>_(* #,##0.00_);_(* \(#,##0.00\);_(* "-"??_);_(@_)</c:formatCode>
                <c:ptCount val="6"/>
                <c:pt idx="0">
                  <c:v>462.78903023378427</c:v>
                </c:pt>
                <c:pt idx="1">
                  <c:v>-71.198312343659168</c:v>
                </c:pt>
                <c:pt idx="2">
                  <c:v>27.878857242999032</c:v>
                </c:pt>
                <c:pt idx="3">
                  <c:v>46.278903023378547</c:v>
                </c:pt>
                <c:pt idx="4">
                  <c:v>23.139451511689245</c:v>
                </c:pt>
                <c:pt idx="5">
                  <c:v>26.098899434407656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A-4306-B3B4-01C19B8CF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9401120"/>
        <c:axId val="550170592"/>
      </c:barChart>
      <c:catAx>
        <c:axId val="7094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solidFill>
            <a:schemeClr val="accent3">
              <a:lumMod val="20000"/>
              <a:lumOff val="80000"/>
            </a:schemeClr>
          </a:solidFill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170592"/>
        <c:crosses val="autoZero"/>
        <c:auto val="1"/>
        <c:lblAlgn val="ctr"/>
        <c:lblOffset val="100"/>
        <c:noMultiLvlLbl val="0"/>
      </c:catAx>
      <c:valAx>
        <c:axId val="55017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401120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112889</xdr:colOff>
      <xdr:row>5</xdr:row>
      <xdr:rowOff>40922</xdr:rowOff>
    </xdr:from>
    <xdr:to>
      <xdr:col>15</xdr:col>
      <xdr:colOff>275166</xdr:colOff>
      <xdr:row>27</xdr:row>
      <xdr:rowOff>35278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C03BC0-3418-DCA8-5FAA-4D50D8E505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4443F-9F94-4267-A3F2-B870BC71A3DC}">
  <dimension ref="A2:F2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4" sqref="D14"/>
    </sheetView>
  </sheetViews>
  <sheetFormatPr defaultRowHeight="14.5" x14ac:dyDescent="0.35"/>
  <cols>
    <col min="1" max="1" width="53.90625" customWidth="1"/>
    <col min="2" max="2" width="15.7265625" customWidth="1"/>
    <col min="3" max="3" width="12.1796875" bestFit="1" customWidth="1"/>
    <col min="4" max="5" width="13.7265625" bestFit="1" customWidth="1"/>
    <col min="6" max="6" width="9.6328125" customWidth="1"/>
  </cols>
  <sheetData>
    <row r="2" spans="1:6" ht="46" customHeight="1" x14ac:dyDescent="0.45">
      <c r="A2" s="32" t="s">
        <v>61</v>
      </c>
      <c r="B2" s="32"/>
      <c r="C2" s="32"/>
      <c r="D2" s="32"/>
      <c r="E2" s="32"/>
      <c r="F2" s="32"/>
    </row>
    <row r="3" spans="1:6" x14ac:dyDescent="0.35">
      <c r="A3" s="9"/>
    </row>
    <row r="4" spans="1:6" x14ac:dyDescent="0.35">
      <c r="A4" s="9"/>
    </row>
    <row r="5" spans="1:6" x14ac:dyDescent="0.35">
      <c r="A5" s="10" t="s">
        <v>21</v>
      </c>
      <c r="B5" s="10" t="s">
        <v>22</v>
      </c>
      <c r="C5" s="10" t="s">
        <v>18</v>
      </c>
      <c r="D5" s="10" t="s">
        <v>19</v>
      </c>
      <c r="E5" s="10" t="s">
        <v>20</v>
      </c>
      <c r="F5" s="10" t="s">
        <v>38</v>
      </c>
    </row>
    <row r="6" spans="1:6" ht="29" x14ac:dyDescent="0.35">
      <c r="A6" s="11" t="s">
        <v>41</v>
      </c>
      <c r="B6" s="4" t="s">
        <v>23</v>
      </c>
      <c r="C6" s="12">
        <f>'Qty_Subsidized Gas'!B14</f>
        <v>90503.537767733331</v>
      </c>
      <c r="D6" s="12">
        <f>'Qty_Subsidized Gas'!D14</f>
        <v>487073.16540400003</v>
      </c>
      <c r="E6" s="12">
        <f>C6+D6</f>
        <v>577576.7031717333</v>
      </c>
      <c r="F6" s="13" t="s">
        <v>39</v>
      </c>
    </row>
    <row r="7" spans="1:6" x14ac:dyDescent="0.35">
      <c r="A7" s="11" t="s">
        <v>24</v>
      </c>
      <c r="B7" s="4" t="s">
        <v>25</v>
      </c>
      <c r="C7" s="4">
        <v>39.682540000000003</v>
      </c>
      <c r="D7" s="4">
        <v>39.682540000000003</v>
      </c>
      <c r="E7" s="4"/>
      <c r="F7" s="13" t="s">
        <v>39</v>
      </c>
    </row>
    <row r="8" spans="1:6" x14ac:dyDescent="0.35">
      <c r="A8" s="11" t="s">
        <v>26</v>
      </c>
      <c r="B8" s="4" t="s">
        <v>27</v>
      </c>
      <c r="C8" s="12">
        <f>C6*C7</f>
        <v>3591410.257609589</v>
      </c>
      <c r="D8" s="12">
        <f t="shared" ref="D8" si="0">D6*D7</f>
        <v>19328300.36907085</v>
      </c>
      <c r="E8" s="12">
        <f>C8+D8</f>
        <v>22919710.626680441</v>
      </c>
      <c r="F8" s="13" t="s">
        <v>39</v>
      </c>
    </row>
    <row r="9" spans="1:6" x14ac:dyDescent="0.35">
      <c r="A9" s="11" t="s">
        <v>48</v>
      </c>
      <c r="B9" s="4" t="s">
        <v>49</v>
      </c>
      <c r="C9" s="12">
        <v>10200</v>
      </c>
      <c r="D9" s="12">
        <v>9200</v>
      </c>
      <c r="E9" s="12"/>
      <c r="F9" s="13" t="s">
        <v>39</v>
      </c>
    </row>
    <row r="10" spans="1:6" x14ac:dyDescent="0.35">
      <c r="A10" s="11" t="s">
        <v>46</v>
      </c>
      <c r="B10" s="4" t="s">
        <v>28</v>
      </c>
      <c r="C10" s="12">
        <f>$C$23</f>
        <v>6.5</v>
      </c>
      <c r="D10" s="12">
        <f>$C$23</f>
        <v>6.5</v>
      </c>
      <c r="E10" s="12"/>
      <c r="F10" s="13" t="s">
        <v>39</v>
      </c>
    </row>
    <row r="11" spans="1:6" x14ac:dyDescent="0.35">
      <c r="A11" s="11" t="s">
        <v>29</v>
      </c>
      <c r="B11" s="4" t="s">
        <v>28</v>
      </c>
      <c r="C11" s="14">
        <v>0.4</v>
      </c>
      <c r="D11" s="14">
        <v>0.4</v>
      </c>
      <c r="E11" s="14"/>
      <c r="F11" s="13" t="s">
        <v>39</v>
      </c>
    </row>
    <row r="12" spans="1:6" x14ac:dyDescent="0.35">
      <c r="A12" s="11" t="s">
        <v>30</v>
      </c>
      <c r="B12" s="4" t="s">
        <v>31</v>
      </c>
      <c r="C12" s="12">
        <f>$C$22</f>
        <v>83</v>
      </c>
      <c r="D12" s="12">
        <f>$C$22</f>
        <v>83</v>
      </c>
      <c r="E12" s="12"/>
      <c r="F12" s="13" t="s">
        <v>39</v>
      </c>
    </row>
    <row r="13" spans="1:6" x14ac:dyDescent="0.35">
      <c r="A13" s="15" t="s">
        <v>56</v>
      </c>
      <c r="B13" s="4" t="s">
        <v>1</v>
      </c>
      <c r="C13" s="16">
        <f>C8*(C10*C9/10000)*C11*C12/10^7</f>
        <v>79.052686026399229</v>
      </c>
      <c r="D13" s="16">
        <f>D8*(D10*D9/10000)*D11*D12/10^7</f>
        <v>383.73634420738506</v>
      </c>
      <c r="E13" s="12">
        <f>C13+D13</f>
        <v>462.78903023378427</v>
      </c>
      <c r="F13" s="13" t="s">
        <v>39</v>
      </c>
    </row>
    <row r="14" spans="1:6" x14ac:dyDescent="0.35">
      <c r="A14" s="17" t="s">
        <v>52</v>
      </c>
      <c r="B14" s="18" t="s">
        <v>1</v>
      </c>
      <c r="C14" s="19">
        <f>C8*((C10+$C$25)*C9/10000)*C11*C12/10^7-C8*(C10*C9/10000)*C11*C12/10^7</f>
        <v>-12.161951696369115</v>
      </c>
      <c r="D14" s="19">
        <f>D8*((D10+$C$25)*D9/10000)*D11*D12/10^7-D8*(D10*D9/10000)*D11*D12/10^7</f>
        <v>-59.036360647290053</v>
      </c>
      <c r="E14" s="19">
        <f>C14+D14</f>
        <v>-71.198312343659168</v>
      </c>
      <c r="F14" s="13" t="s">
        <v>39</v>
      </c>
    </row>
    <row r="15" spans="1:6" x14ac:dyDescent="0.35">
      <c r="A15" s="20" t="s">
        <v>53</v>
      </c>
      <c r="B15" s="21" t="s">
        <v>1</v>
      </c>
      <c r="C15" s="31">
        <f>C8*(C10*C9/10000)*C11*(C12+$C$26)/10^7-C8*(C10*C9/10000)*C11*C12/10^7</f>
        <v>4.7622100015903186</v>
      </c>
      <c r="D15" s="31">
        <f>D8*(D10*D9/10000)*D11*(D12+$C$26)/10^7-D8*(D10*D9/10000)*D11*D12/10^7</f>
        <v>23.116647241408714</v>
      </c>
      <c r="E15" s="31">
        <f>C15+D15</f>
        <v>27.878857242999032</v>
      </c>
      <c r="F15" s="13" t="s">
        <v>39</v>
      </c>
    </row>
    <row r="16" spans="1:6" x14ac:dyDescent="0.35">
      <c r="A16" s="17" t="s">
        <v>60</v>
      </c>
      <c r="B16" s="18" t="s">
        <v>1</v>
      </c>
      <c r="C16" s="19">
        <f>(C8*(1+$C$27))*(C10*C9/10000)*C11*C12/10^7-C8*(C10*C9/10000)*C11*C12/10^7</f>
        <v>7.9052686026399499</v>
      </c>
      <c r="D16" s="19">
        <f>(D8*(1+$C$27))*(D10*D9/10000)*D11*D12/10^7-D8*(D10*D9/10000)*D11*D12/10^7</f>
        <v>38.373634420738597</v>
      </c>
      <c r="E16" s="19">
        <f>C16+D16</f>
        <v>46.278903023378547</v>
      </c>
      <c r="F16" s="13" t="s">
        <v>39</v>
      </c>
    </row>
    <row r="17" spans="1:6" x14ac:dyDescent="0.35">
      <c r="A17" s="20" t="s">
        <v>54</v>
      </c>
      <c r="B17" s="21" t="s">
        <v>1</v>
      </c>
      <c r="C17" s="31">
        <f>C8*(C10*C9/10000)*(C11+$C$28)*C12/10^7-C8*(C10*C9/10000)*C11*C12/10^7</f>
        <v>3.952634301319975</v>
      </c>
      <c r="D17" s="31">
        <f>D8*(D10*D9/10000)*(D11+$C$28)*D12/10^7-D8*(D10*D9/10000)*D11*D12/10^7</f>
        <v>19.18681721036927</v>
      </c>
      <c r="E17" s="31">
        <f>C17+D17</f>
        <v>23.139451511689245</v>
      </c>
      <c r="F17" s="13" t="s">
        <v>39</v>
      </c>
    </row>
    <row r="18" spans="1:6" x14ac:dyDescent="0.35">
      <c r="A18" s="17" t="s">
        <v>55</v>
      </c>
      <c r="B18" s="18"/>
      <c r="C18" s="19"/>
      <c r="D18" s="19"/>
      <c r="E18" s="19">
        <f>SUM(E14:E17)</f>
        <v>26.098899434407656</v>
      </c>
      <c r="F18" s="13" t="s">
        <v>39</v>
      </c>
    </row>
    <row r="21" spans="1:6" x14ac:dyDescent="0.35">
      <c r="A21" s="10" t="s">
        <v>47</v>
      </c>
      <c r="B21" s="10" t="s">
        <v>34</v>
      </c>
      <c r="C21" s="10" t="s">
        <v>33</v>
      </c>
      <c r="D21" s="30" t="s">
        <v>38</v>
      </c>
      <c r="E21" s="30"/>
      <c r="F21" s="30"/>
    </row>
    <row r="22" spans="1:6" x14ac:dyDescent="0.35">
      <c r="A22" s="22" t="s">
        <v>44</v>
      </c>
      <c r="B22" s="4" t="s">
        <v>35</v>
      </c>
      <c r="C22" s="12">
        <v>83</v>
      </c>
      <c r="D22" s="29" t="s">
        <v>43</v>
      </c>
      <c r="E22" s="29"/>
      <c r="F22" s="29"/>
    </row>
    <row r="23" spans="1:6" x14ac:dyDescent="0.35">
      <c r="A23" s="22" t="s">
        <v>46</v>
      </c>
      <c r="B23" s="4" t="s">
        <v>28</v>
      </c>
      <c r="C23" s="12">
        <v>6.5</v>
      </c>
      <c r="D23" s="29" t="s">
        <v>43</v>
      </c>
      <c r="E23" s="29"/>
      <c r="F23" s="29"/>
    </row>
    <row r="24" spans="1:6" x14ac:dyDescent="0.35">
      <c r="A24" s="23" t="s">
        <v>37</v>
      </c>
      <c r="B24" s="4"/>
      <c r="C24" s="4"/>
      <c r="D24" s="28"/>
      <c r="E24" s="28"/>
      <c r="F24" s="28"/>
    </row>
    <row r="25" spans="1:6" ht="34" customHeight="1" x14ac:dyDescent="0.35">
      <c r="A25" s="24" t="s">
        <v>32</v>
      </c>
      <c r="B25" s="4" t="s">
        <v>28</v>
      </c>
      <c r="C25" s="25">
        <v>-1</v>
      </c>
      <c r="D25" s="27" t="s">
        <v>45</v>
      </c>
      <c r="E25" s="27"/>
      <c r="F25" s="27"/>
    </row>
    <row r="26" spans="1:6" ht="34" customHeight="1" x14ac:dyDescent="0.35">
      <c r="A26" s="24" t="s">
        <v>42</v>
      </c>
      <c r="B26" s="4" t="s">
        <v>35</v>
      </c>
      <c r="C26" s="25">
        <v>5</v>
      </c>
      <c r="D26" s="27" t="s">
        <v>58</v>
      </c>
      <c r="E26" s="27"/>
      <c r="F26" s="27"/>
    </row>
    <row r="27" spans="1:6" ht="58.5" customHeight="1" x14ac:dyDescent="0.35">
      <c r="A27" s="24" t="s">
        <v>57</v>
      </c>
      <c r="B27" s="4" t="s">
        <v>36</v>
      </c>
      <c r="C27" s="26">
        <v>0.1</v>
      </c>
      <c r="D27" s="27" t="s">
        <v>59</v>
      </c>
      <c r="E27" s="27"/>
      <c r="F27" s="27"/>
    </row>
    <row r="28" spans="1:6" ht="34" customHeight="1" x14ac:dyDescent="0.35">
      <c r="A28" s="24" t="s">
        <v>50</v>
      </c>
      <c r="B28" s="4" t="s">
        <v>36</v>
      </c>
      <c r="C28" s="26">
        <v>0.02</v>
      </c>
      <c r="D28" s="27" t="s">
        <v>40</v>
      </c>
      <c r="E28" s="27"/>
      <c r="F28" s="27"/>
    </row>
  </sheetData>
  <sheetProtection algorithmName="SHA-512" hashValue="fHMy8zfve/Tiok3ECWvpkAnlBrTB0om7VOKKCvjwpg0MA3DTRqy/X2FtLvzZL1ztDxF46K+dmpCYddagbFd/Ow==" saltValue="93BfyotNXJEjo9SsaU7uIA==" spinCount="100000" sheet="1" objects="1" scenarios="1"/>
  <mergeCells count="9">
    <mergeCell ref="A2:F2"/>
    <mergeCell ref="D26:F26"/>
    <mergeCell ref="D25:F25"/>
    <mergeCell ref="D28:F28"/>
    <mergeCell ref="D24:F24"/>
    <mergeCell ref="D22:F22"/>
    <mergeCell ref="D21:F21"/>
    <mergeCell ref="D23:F23"/>
    <mergeCell ref="D27:F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6CE23-AA26-417E-811D-35023775116D}">
  <dimension ref="A3:E14"/>
  <sheetViews>
    <sheetView workbookViewId="0">
      <selection activeCell="D14" sqref="D14"/>
    </sheetView>
  </sheetViews>
  <sheetFormatPr defaultRowHeight="14.5" x14ac:dyDescent="0.35"/>
  <cols>
    <col min="1" max="1" width="26.1796875" bestFit="1" customWidth="1"/>
    <col min="2" max="2" width="17.7265625" bestFit="1" customWidth="1"/>
    <col min="3" max="3" width="17.7265625" customWidth="1"/>
    <col min="4" max="4" width="13.36328125" bestFit="1" customWidth="1"/>
    <col min="5" max="5" width="21.08984375" customWidth="1"/>
  </cols>
  <sheetData>
    <row r="3" spans="1:5" ht="58" x14ac:dyDescent="0.35">
      <c r="A3" s="6" t="s">
        <v>17</v>
      </c>
      <c r="B3" s="6" t="s">
        <v>11</v>
      </c>
      <c r="C3" s="6" t="s">
        <v>15</v>
      </c>
      <c r="D3" s="6" t="s">
        <v>13</v>
      </c>
      <c r="E3" s="6" t="s">
        <v>15</v>
      </c>
    </row>
    <row r="4" spans="1:5" x14ac:dyDescent="0.35">
      <c r="A4" s="4" t="s">
        <v>10</v>
      </c>
      <c r="B4" s="5">
        <v>160686.48000000001</v>
      </c>
      <c r="C4" s="5"/>
      <c r="D4" s="5">
        <v>521713.25600000005</v>
      </c>
      <c r="E4" s="5"/>
    </row>
    <row r="5" spans="1:5" x14ac:dyDescent="0.35">
      <c r="A5" s="4" t="s">
        <v>9</v>
      </c>
      <c r="B5" s="5">
        <v>161264.79499999998</v>
      </c>
      <c r="C5" s="7">
        <f t="shared" ref="C5:C13" si="0">(B5-B4)/B4</f>
        <v>3.5990271241237793E-3</v>
      </c>
      <c r="D5" s="5">
        <v>532360.03300000005</v>
      </c>
      <c r="E5" s="7">
        <f t="shared" ref="E5:E13" si="1">(D5-D4)/D4</f>
        <v>2.0407334637477566E-2</v>
      </c>
    </row>
    <row r="6" spans="1:5" x14ac:dyDescent="0.35">
      <c r="A6" s="4" t="s">
        <v>8</v>
      </c>
      <c r="B6" s="5">
        <v>147036.11199999999</v>
      </c>
      <c r="C6" s="7">
        <f t="shared" si="0"/>
        <v>-8.8231799135080849E-2</v>
      </c>
      <c r="D6" s="5">
        <v>523251.076</v>
      </c>
      <c r="E6" s="7">
        <f t="shared" si="1"/>
        <v>-1.7110520015314622E-2</v>
      </c>
    </row>
    <row r="7" spans="1:5" x14ac:dyDescent="0.35">
      <c r="A7" s="4" t="s">
        <v>7</v>
      </c>
      <c r="B7" s="5">
        <v>137420.79199999999</v>
      </c>
      <c r="C7" s="7">
        <f t="shared" si="0"/>
        <v>-6.5394275387260017E-2</v>
      </c>
      <c r="D7" s="5">
        <v>471003.17100000009</v>
      </c>
      <c r="E7" s="7">
        <f t="shared" si="1"/>
        <v>-9.9852455917357558E-2</v>
      </c>
    </row>
    <row r="8" spans="1:5" x14ac:dyDescent="0.35">
      <c r="A8" s="4" t="s">
        <v>6</v>
      </c>
      <c r="B8" s="5">
        <v>127511.76399999998</v>
      </c>
      <c r="C8" s="7">
        <f t="shared" si="0"/>
        <v>-7.2107196122112346E-2</v>
      </c>
      <c r="D8" s="5">
        <v>467584.36999999988</v>
      </c>
      <c r="E8" s="7">
        <f t="shared" si="1"/>
        <v>-7.2585519811717144E-3</v>
      </c>
    </row>
    <row r="9" spans="1:5" x14ac:dyDescent="0.35">
      <c r="A9" s="4" t="s">
        <v>5</v>
      </c>
      <c r="B9" s="5">
        <v>126563.13499999998</v>
      </c>
      <c r="C9" s="7">
        <f t="shared" si="0"/>
        <v>-7.4395410293280938E-3</v>
      </c>
      <c r="D9" s="5">
        <v>518939.88350000011</v>
      </c>
      <c r="E9" s="7">
        <f t="shared" si="1"/>
        <v>0.10983154441197478</v>
      </c>
    </row>
    <row r="10" spans="1:5" x14ac:dyDescent="0.35">
      <c r="A10" s="4" t="s">
        <v>4</v>
      </c>
      <c r="B10" s="5">
        <v>97780.097999999998</v>
      </c>
      <c r="C10" s="7">
        <f t="shared" si="0"/>
        <v>-0.22742038588092803</v>
      </c>
      <c r="D10" s="5">
        <v>508229.59351999982</v>
      </c>
      <c r="E10" s="7">
        <f t="shared" si="1"/>
        <v>-2.0638787498398724E-2</v>
      </c>
    </row>
    <row r="11" spans="1:5" x14ac:dyDescent="0.35">
      <c r="A11" s="4" t="s">
        <v>3</v>
      </c>
      <c r="B11" s="5">
        <v>90565.425552000001</v>
      </c>
      <c r="C11" s="7">
        <f t="shared" si="0"/>
        <v>-7.3784671886910957E-2</v>
      </c>
      <c r="D11" s="5">
        <v>500236.92400000006</v>
      </c>
      <c r="E11" s="7">
        <f t="shared" si="1"/>
        <v>-1.5726493738081066E-2</v>
      </c>
    </row>
    <row r="12" spans="1:5" x14ac:dyDescent="0.35">
      <c r="A12" s="4" t="s">
        <v>2</v>
      </c>
      <c r="B12" s="5">
        <v>68108.551120000004</v>
      </c>
      <c r="C12" s="7">
        <f t="shared" si="0"/>
        <v>-0.24796299796665694</v>
      </c>
      <c r="D12" s="5">
        <v>461099.40600000013</v>
      </c>
      <c r="E12" s="7">
        <f t="shared" si="1"/>
        <v>-7.8237963097661942E-2</v>
      </c>
    </row>
    <row r="13" spans="1:5" x14ac:dyDescent="0.35">
      <c r="A13" s="4" t="s">
        <v>16</v>
      </c>
      <c r="B13" s="5">
        <f>52125.359375*12/9</f>
        <v>69500.479166666672</v>
      </c>
      <c r="C13" s="7">
        <f t="shared" si="0"/>
        <v>2.043690584775822E-2</v>
      </c>
      <c r="D13" s="5">
        <f>335145.015*12/9</f>
        <v>446860.02</v>
      </c>
      <c r="E13" s="7">
        <f t="shared" si="1"/>
        <v>-3.0881380055388992E-2</v>
      </c>
    </row>
    <row r="14" spans="1:5" x14ac:dyDescent="0.35">
      <c r="A14" s="4" t="s">
        <v>51</v>
      </c>
      <c r="B14" s="8">
        <f>AVERAGE(B9:B13)</f>
        <v>90503.537767733331</v>
      </c>
      <c r="C14" s="4"/>
      <c r="D14" s="8">
        <f>AVERAGE(D9:D13)</f>
        <v>487073.16540400003</v>
      </c>
      <c r="E1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D280-CBC4-4171-B02F-D54EC84EB359}">
  <dimension ref="A3:E16"/>
  <sheetViews>
    <sheetView workbookViewId="0">
      <selection activeCell="B14" sqref="B14"/>
    </sheetView>
  </sheetViews>
  <sheetFormatPr defaultRowHeight="14.5" x14ac:dyDescent="0.35"/>
  <cols>
    <col min="1" max="1" width="7.453125" bestFit="1" customWidth="1"/>
    <col min="2" max="2" width="17.7265625" bestFit="1" customWidth="1"/>
    <col min="3" max="3" width="28.08984375" bestFit="1" customWidth="1"/>
    <col min="4" max="4" width="13.36328125" bestFit="1" customWidth="1"/>
    <col min="5" max="5" width="11.81640625" bestFit="1" customWidth="1"/>
  </cols>
  <sheetData>
    <row r="3" spans="1:5" x14ac:dyDescent="0.35">
      <c r="B3" t="s">
        <v>11</v>
      </c>
      <c r="C3" t="s">
        <v>12</v>
      </c>
      <c r="D3" t="s">
        <v>13</v>
      </c>
      <c r="E3" t="s">
        <v>14</v>
      </c>
    </row>
    <row r="4" spans="1:5" x14ac:dyDescent="0.35">
      <c r="A4" t="s">
        <v>10</v>
      </c>
      <c r="B4" s="1">
        <v>160686.48000000001</v>
      </c>
      <c r="C4" s="1">
        <v>68.966286330894803</v>
      </c>
      <c r="D4" s="1">
        <v>521713.25600000005</v>
      </c>
      <c r="E4" s="1">
        <v>201.31636609972807</v>
      </c>
    </row>
    <row r="5" spans="1:5" x14ac:dyDescent="0.35">
      <c r="A5" t="s">
        <v>9</v>
      </c>
      <c r="B5" s="1">
        <v>161264.79499999998</v>
      </c>
      <c r="C5" s="1">
        <v>76.394802662298417</v>
      </c>
      <c r="D5" s="1">
        <v>532360.03300000005</v>
      </c>
      <c r="E5" s="1">
        <v>213.76115394270704</v>
      </c>
    </row>
    <row r="6" spans="1:5" x14ac:dyDescent="0.35">
      <c r="A6" t="s">
        <v>8</v>
      </c>
      <c r="B6" s="1">
        <v>147036.11199999999</v>
      </c>
      <c r="C6" s="1">
        <v>47.503965794627199</v>
      </c>
      <c r="D6" s="1">
        <v>523251.076</v>
      </c>
      <c r="E6" s="1">
        <v>142.24246505505099</v>
      </c>
    </row>
    <row r="7" spans="1:5" x14ac:dyDescent="0.35">
      <c r="A7" t="s">
        <v>7</v>
      </c>
      <c r="B7" s="1">
        <v>137420.79199999999</v>
      </c>
      <c r="C7" s="1">
        <v>36.593917753808746</v>
      </c>
      <c r="D7" s="1">
        <v>471003.17100000009</v>
      </c>
      <c r="E7" s="1">
        <v>118.99303466773405</v>
      </c>
    </row>
    <row r="8" spans="1:5" x14ac:dyDescent="0.35">
      <c r="A8" t="s">
        <v>6</v>
      </c>
      <c r="B8" s="1">
        <v>127511.76399999998</v>
      </c>
      <c r="C8" s="1">
        <v>43.624598510387337</v>
      </c>
      <c r="D8" s="1">
        <v>467584.36999999988</v>
      </c>
      <c r="E8" s="1">
        <v>152.81492980557925</v>
      </c>
    </row>
    <row r="9" spans="1:5" x14ac:dyDescent="0.35">
      <c r="A9" t="s">
        <v>5</v>
      </c>
      <c r="B9" s="1">
        <v>126563.13499999998</v>
      </c>
      <c r="C9" s="1">
        <v>48.13696683673988</v>
      </c>
      <c r="D9" s="1">
        <v>518939.88350000011</v>
      </c>
      <c r="E9" s="1">
        <v>184.53802797317616</v>
      </c>
    </row>
    <row r="10" spans="1:5" x14ac:dyDescent="0.35">
      <c r="A10" t="s">
        <v>4</v>
      </c>
      <c r="B10" s="1">
        <v>97780.097999999998</v>
      </c>
      <c r="C10" s="1">
        <v>23.686582302091097</v>
      </c>
      <c r="D10" s="1">
        <v>508229.59351999982</v>
      </c>
      <c r="E10" s="1">
        <v>115.84690265831854</v>
      </c>
    </row>
    <row r="11" spans="1:5" x14ac:dyDescent="0.35">
      <c r="A11" t="s">
        <v>3</v>
      </c>
      <c r="B11" s="1">
        <v>90565.425552000001</v>
      </c>
      <c r="C11" s="1">
        <v>24.516514011652184</v>
      </c>
      <c r="D11" s="1">
        <v>500236.92400000006</v>
      </c>
      <c r="E11" s="1">
        <v>127.38963025691571</v>
      </c>
    </row>
    <row r="12" spans="1:5" x14ac:dyDescent="0.35">
      <c r="A12" t="s">
        <v>2</v>
      </c>
      <c r="B12" s="1">
        <v>68108.551120000004</v>
      </c>
      <c r="C12" s="1">
        <v>63.914256910204649</v>
      </c>
      <c r="D12" s="1">
        <v>461099.40600000013</v>
      </c>
      <c r="E12" s="1">
        <v>399.28877536517155</v>
      </c>
    </row>
    <row r="13" spans="1:5" x14ac:dyDescent="0.35">
      <c r="A13" t="s">
        <v>0</v>
      </c>
      <c r="B13" s="1">
        <v>52125.359375000015</v>
      </c>
      <c r="C13" s="1">
        <v>46.504546916247079</v>
      </c>
      <c r="D13" s="1">
        <v>335145.01500000019</v>
      </c>
      <c r="E13" s="1">
        <v>266.11215823433065</v>
      </c>
    </row>
    <row r="14" spans="1:5" x14ac:dyDescent="0.35">
      <c r="B14" s="3">
        <f>SUM(B4:B13)</f>
        <v>1169062.512047</v>
      </c>
      <c r="C14" s="3">
        <f>SUM(C4:C13)</f>
        <v>479.84243802895139</v>
      </c>
      <c r="D14" s="3">
        <f>SUM(D4:D13)</f>
        <v>4839562.7280200012</v>
      </c>
      <c r="E14" s="3">
        <f>SUM(E4:E13)</f>
        <v>1922.3034440587121</v>
      </c>
    </row>
    <row r="16" spans="1:5" x14ac:dyDescent="0.35">
      <c r="C16" s="2">
        <f>C13*12/9</f>
        <v>62.006062554996106</v>
      </c>
      <c r="E16" s="2">
        <f>E13*12/9</f>
        <v>354.81621097910755</v>
      </c>
    </row>
  </sheetData>
  <sortState xmlns:xlrd2="http://schemas.microsoft.com/office/spreadsheetml/2017/richdata2" ref="A4:E13">
    <sortCondition ref="A4:A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TOOL</vt:lpstr>
      <vt:lpstr>Qty_Subsidized Gas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 Kumar Prajapati</dc:creator>
  <cp:lastModifiedBy>Praveen Kumar Prajapati</cp:lastModifiedBy>
  <dcterms:created xsi:type="dcterms:W3CDTF">2024-03-08T11:49:23Z</dcterms:created>
  <dcterms:modified xsi:type="dcterms:W3CDTF">2024-03-08T13:54:51Z</dcterms:modified>
</cp:coreProperties>
</file>